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mortized Cost" sheetId="1" r:id="rId1"/>
    <sheet name="Amortized Cost (2)" sheetId="6" r:id="rId2"/>
    <sheet name="IAS39" sheetId="5" r:id="rId3"/>
    <sheet name="IFRS9" sheetId="4" r:id="rId4"/>
    <sheet name="Sheet2" sheetId="2" r:id="rId5"/>
    <sheet name="Sheet3" sheetId="3" r:id="rId6"/>
  </sheets>
  <calcPr calcId="145621"/>
</workbook>
</file>

<file path=xl/calcChain.xml><?xml version="1.0" encoding="utf-8"?>
<calcChain xmlns="http://schemas.openxmlformats.org/spreadsheetml/2006/main">
  <c r="H10" i="4" l="1"/>
  <c r="G10" i="4"/>
  <c r="I10" i="4" s="1"/>
  <c r="D41" i="5"/>
  <c r="E41" i="5"/>
  <c r="E42" i="5" s="1"/>
  <c r="F41" i="5"/>
  <c r="F42" i="5" s="1"/>
  <c r="F43" i="5" s="1"/>
  <c r="F44" i="5" s="1"/>
  <c r="D42" i="5"/>
  <c r="D43" i="5" s="1"/>
  <c r="D44" i="5" s="1"/>
  <c r="D45" i="5" s="1"/>
  <c r="D47" i="5" s="1"/>
  <c r="E15" i="6"/>
  <c r="I12" i="6"/>
  <c r="L12" i="6" s="1"/>
  <c r="H41" i="5"/>
  <c r="H42" i="5" s="1"/>
  <c r="G41" i="5"/>
  <c r="G42" i="5" s="1"/>
  <c r="C37" i="5"/>
  <c r="H28" i="5"/>
  <c r="G23" i="5"/>
  <c r="H22" i="5"/>
  <c r="H21" i="5"/>
  <c r="H20" i="5"/>
  <c r="H19" i="5"/>
  <c r="H18" i="5"/>
  <c r="H17" i="5"/>
  <c r="H9" i="4"/>
  <c r="G9" i="4"/>
  <c r="I9" i="4" s="1"/>
  <c r="H8" i="4"/>
  <c r="G8" i="4"/>
  <c r="I8" i="4" s="1"/>
  <c r="G11" i="1"/>
  <c r="G12" i="1" s="1"/>
  <c r="F11" i="1"/>
  <c r="F12" i="1" s="1"/>
  <c r="E10" i="1"/>
  <c r="E12" i="1" s="1"/>
  <c r="D10" i="1"/>
  <c r="D12" i="1" s="1"/>
  <c r="C12" i="1"/>
  <c r="B12" i="1"/>
  <c r="H23" i="5" l="1"/>
  <c r="J10" i="4"/>
  <c r="E43" i="5"/>
  <c r="E44" i="5"/>
  <c r="E45" i="5" s="1"/>
  <c r="E47" i="5" s="1"/>
  <c r="J12" i="6"/>
  <c r="I13" i="6" s="1"/>
  <c r="L13" i="6" s="1"/>
  <c r="C42" i="5"/>
  <c r="H43" i="5"/>
  <c r="H44" i="5" s="1"/>
  <c r="G43" i="5"/>
  <c r="G44" i="5" s="1"/>
  <c r="J8" i="4"/>
  <c r="J9" i="4"/>
  <c r="F45" i="5" l="1"/>
  <c r="F47" i="5" s="1"/>
  <c r="H45" i="5"/>
  <c r="H47" i="5" s="1"/>
  <c r="I45" i="5"/>
  <c r="I47" i="5" s="1"/>
  <c r="G45" i="5"/>
  <c r="G47" i="5" s="1"/>
  <c r="C43" i="5"/>
  <c r="C44" i="5" s="1"/>
  <c r="J13" i="6" l="1"/>
  <c r="I14" i="6" s="1"/>
  <c r="L14" i="6" s="1"/>
  <c r="C45" i="5"/>
  <c r="C47" i="5"/>
  <c r="C48" i="5" s="1"/>
  <c r="J14" i="6" l="1"/>
  <c r="L15" i="6" l="1"/>
  <c r="I15" i="6"/>
</calcChain>
</file>

<file path=xl/sharedStrings.xml><?xml version="1.0" encoding="utf-8"?>
<sst xmlns="http://schemas.openxmlformats.org/spreadsheetml/2006/main" count="118" uniqueCount="99">
  <si>
    <t>بهای تمام شده مستهلک شده - Amortized Cost</t>
  </si>
  <si>
    <t>زیان کاهش ارزش (Impairment Loss) انفرادی - IAS39</t>
  </si>
  <si>
    <t>زیان کاهش ارزش (Impairment Loss) گروهی - IAS39</t>
  </si>
  <si>
    <t>سال</t>
  </si>
  <si>
    <t>احتمال نکول - PD</t>
  </si>
  <si>
    <t>زیان نکول - LGD</t>
  </si>
  <si>
    <t>میزان در معرض نکول - EAD</t>
  </si>
  <si>
    <t>1395/12/30</t>
  </si>
  <si>
    <t>1396/12/29</t>
  </si>
  <si>
    <t>زیان کاهش ارزش (Impairment Loss) انفرادی - IFRS9</t>
  </si>
  <si>
    <t>12 ماه آینده</t>
  </si>
  <si>
    <t xml:space="preserve"> مابقی عمر تسهیلات</t>
  </si>
  <si>
    <t>در اسفند ماه  1395 تسهیلاتی بمبلغ 100 میلیون ریال با نرخ بهره سالانه 20%  و برای مدت 3 سال پرداخت میشود. اطلاعات مربوط به PD، LGD , EAD این وام طی 3 سال اول بصورت زیر میباشد:</t>
  </si>
  <si>
    <t>پرداخت وام</t>
  </si>
  <si>
    <t>سال اول</t>
  </si>
  <si>
    <t>سال دوم</t>
  </si>
  <si>
    <t>سال سوم</t>
  </si>
  <si>
    <t>سال چهارم</t>
  </si>
  <si>
    <t>نرخ قراردادی</t>
  </si>
  <si>
    <t>نرخ بهره موثر</t>
  </si>
  <si>
    <t>نرخ وام</t>
  </si>
  <si>
    <t>اعطای وام با دریافت کارمزد - 5%</t>
  </si>
  <si>
    <t>کارمزد</t>
  </si>
  <si>
    <t>سود سال اول</t>
  </si>
  <si>
    <t>خالص مانده وام</t>
  </si>
  <si>
    <t>پرداخت اقساط:</t>
  </si>
  <si>
    <t>اعطای وام با دوره تنفس بدون بهره یکساله</t>
  </si>
  <si>
    <t>1 - برخی حالتهایی که میتواند منجر به تفاوت شناسایی بهره در بهای تمام شده مستهلک شده با نرخ قراردادی گردد</t>
  </si>
  <si>
    <t>بهره قراردادی</t>
  </si>
  <si>
    <t>بهره موثر</t>
  </si>
  <si>
    <t>مبنای محاسبه</t>
  </si>
  <si>
    <t>مبلغ</t>
  </si>
  <si>
    <t>مانده وام</t>
  </si>
  <si>
    <t>زمان اعطا</t>
  </si>
  <si>
    <t>مبلغ قسط</t>
  </si>
  <si>
    <t>300x 20%</t>
  </si>
  <si>
    <t>200x 20%</t>
  </si>
  <si>
    <t>نقد</t>
  </si>
  <si>
    <t>درآمد بهره</t>
  </si>
  <si>
    <t>وام - اصل</t>
  </si>
  <si>
    <t>تفاوت درآمد بهره در 2 روش</t>
  </si>
  <si>
    <t>ثبت قسط سال اول در هر 2 روش:</t>
  </si>
  <si>
    <t>بد</t>
  </si>
  <si>
    <t>بس</t>
  </si>
  <si>
    <t>تفاوت مبلغ بهره بمیزان 15 میلیون ریال در روش بهره موثر مربوط به این موضوع است که در این روش 15 میلیون ریال دریافت شده درآمدهای بهره سنوات آتی مستهلک میشود  باعث افزایش درآمد بهره میگردد، ( بعنوان درآمد سال اول که وام اعطا شده شناسایی نمیشود). این موضوع شبیه صدور اوراق مشارکت با کسر میباشد که کسر آن در طی سالهای عمر اوراق به درآمد تبدیل و باعث افزایش درآمد اسمی ( قراردادی) میشود.</t>
  </si>
  <si>
    <t>همچنین شواهد دیگری نیز دال وجود مشکلات مالی و اقتصادی نظیر کاهش فروش زیانده شدن مشتری دیده میشود.</t>
  </si>
  <si>
    <t>با توجه یه وجود شواهد عینی، وام بعنوان NPL شناسایی میشود</t>
  </si>
  <si>
    <t>ارزش اسمی وام در پایان سال 1395 و با فرض عدم شناسایی سود سال، مبلغ 800 میلیون ریال میباشد</t>
  </si>
  <si>
    <t>دریافت 50% از قسط سوم با 1 سال تاخیر</t>
  </si>
  <si>
    <t>در تاریخ 1394/1/1 تسهیلات بمبلغ 1،000 میلیون ریال به مشتری الف با نرخ 20% و برای 5 سال اعطا شد ( سررسید 1398/12/29). سالانه بازپرداخت سود و 20% از اصل صورت میگیرد.</t>
  </si>
  <si>
    <t>فروش و وصول وثیقه ملکی شرکت 2 سال بعد از پایان قرارداد</t>
  </si>
  <si>
    <t>فاقد وصولی</t>
  </si>
  <si>
    <t>دوره وصول</t>
  </si>
  <si>
    <t>موضوع وصول</t>
  </si>
  <si>
    <t>کل مبلغ وصولی</t>
  </si>
  <si>
    <t>پیش بینی وجه نقد وصولی</t>
  </si>
  <si>
    <t>ارزش فعلی وصولی - با نرخ موثر اولیه وام</t>
  </si>
  <si>
    <t>ارزش فعلی جریانات نقدی آتی در پایان سال 1395</t>
  </si>
  <si>
    <t>ارزش دفتری وام در پایان سال 1395</t>
  </si>
  <si>
    <t>دریافت کل قسط دوم با یکسال تاخیر</t>
  </si>
  <si>
    <t>دریافت 50%  دوم قسط سوم با 2 سال تاخیر</t>
  </si>
  <si>
    <t>پیش بینی دریافت وصول وجه نقد از مشتری بدین صورت است:</t>
  </si>
  <si>
    <t xml:space="preserve"> دریافت کل قسط دوم با یکسال تاخیر</t>
  </si>
  <si>
    <t>دریافت 50% از قسط سوم با یکسال تاخیر</t>
  </si>
  <si>
    <t>دریافت 50% دیگر از قسط سوم با 2 سال تاخیر</t>
  </si>
  <si>
    <t>اقساط چهارم و پنجم لاوصول باقی خواهد ماند</t>
  </si>
  <si>
    <t>فروش وثیقه ملکی حدود 2 سال بعد از پایان دوره وام و  بمبلغ 500 میلیون ریال</t>
  </si>
  <si>
    <t>ذخیره مورد نیاز (Impairment Loss)</t>
  </si>
  <si>
    <t>سال پنجم</t>
  </si>
  <si>
    <t>پرتفوی تسهیلات وام خودرو شرکت که طول عمر آن 5 ساله است به شرح زیر از بابت سررسیدها، نرخهای تاریخی نکول، ضریب بازیافت و تاخیر در وصول بشرح زیر میباشد:</t>
  </si>
  <si>
    <t>نرخهای تاریخی نکول</t>
  </si>
  <si>
    <t>ضریب بازیافت</t>
  </si>
  <si>
    <t>ارزش در معرض ریسک - (ضریب بازیافت -1)</t>
  </si>
  <si>
    <t>جمع مبالغ</t>
  </si>
  <si>
    <t>سال ششم</t>
  </si>
  <si>
    <t>مانده اصل تسهیلات</t>
  </si>
  <si>
    <t>ارزش فعلی مبالغ وصولی - اصل</t>
  </si>
  <si>
    <t>مبلغ قابل وصول بابت اصل</t>
  </si>
  <si>
    <t>مبلغ وصولی بابت بهره</t>
  </si>
  <si>
    <t>جمع مبلغ وصولی - اصل و فرع</t>
  </si>
  <si>
    <t>جمع مبلغ وصولی با تاخیر</t>
  </si>
  <si>
    <t>مبلغ ذخیره</t>
  </si>
  <si>
    <t>زمانبدنی وصول هر سال فرض شده 90% در همان سال، 10% در یکسال بعد انجام شود</t>
  </si>
  <si>
    <t>ارزش فعلی زیان مورد انتظار</t>
  </si>
  <si>
    <t>12 ماهه</t>
  </si>
  <si>
    <t>چرخه عمر - Lifetime</t>
  </si>
  <si>
    <t>در 1395/12/30 با توجه به اینکه اولین ذخیره برای این وام است، EL برای 12 ماه آتی محاسبه میشود که ارزش تنزیل شده آن بر اساس جدول فوق مبلغ 4.7 میلیون ریال خواهد بود</t>
  </si>
  <si>
    <t>در 1396/12/29 با توجه به اینکه کل PD از 20% اولیه به 30% افزایش پیدا کرده و این افزایش (50%) را میتوان قابل توجه (Significant Increase) تلقی نمود، و همچنین چون PD  معادل 30% در طبقه ریسک کم (Low) جای نمیگیرد، در نتیجه میتوان به مرحله دوم و زیان چرخه عمر وارد شد و بر همین مبنا ذخیره را محاسبه نمود که بر اساس جدول فوق ( ECL تنزیل شده) مبلغ 15.6 میلیون ریال میگردد.</t>
  </si>
  <si>
    <t xml:space="preserve">فرض کنیم در سال 1397  شواهد عینی دال بر نکول مشتری ایجاد شده است (مثلا بیش از 90 روز تاخیر در پرداخت سود داشته است) در این حالت وام زیاندیده تلقی شده و زیان کاهش ارزش برای آن بر همین اساس محاسبه میشود. نرخهای تاریخی زیان حاکی از احتمال سوخت  60%  از اینگونه مطالبات و وصول مابقی اصل و فرع طبق زمانبندی قبلی، در صورت نکول میباشد. در نتیجه محاسیه ذخیره بصورت زیر خواهد بود:
مبلغ وام * زیان نکول * نرخ زیان = 100* 70% * 60% = 42 میلیون ریال
که از مبلغ فوق 15.6 میلیون ریال در سنوات قبل بعنوان EL ذخیره گردیده است.
</t>
  </si>
  <si>
    <t>پرداخت قسط اول به سررسید  1394/12/30 با 6 ما تاخیر و در شهریور 1395 انجام شد، ( بیش از 90 روز تاخیر شواهد عینی نکول)</t>
  </si>
  <si>
    <r>
      <rPr>
        <b/>
        <sz val="12"/>
        <color theme="1"/>
        <rFont val="B Nazanin"/>
        <charset val="178"/>
      </rPr>
      <t>2-</t>
    </r>
    <r>
      <rPr>
        <sz val="12"/>
        <color theme="1"/>
        <rFont val="B Nazanin"/>
        <charset val="178"/>
      </rPr>
      <t xml:space="preserve"> مدل محاسبه در مثال فوق برای حالتی که وام با کارمزد وام اعطا شده است:</t>
    </r>
  </si>
  <si>
    <t>اعطای وام با دریافت مبلغ سود در  اول هر سال</t>
  </si>
  <si>
    <t>285 x 23.5%</t>
  </si>
  <si>
    <t>192 x 23.5%</t>
  </si>
  <si>
    <t>97 x 23.5%</t>
  </si>
  <si>
    <t>مبلغ کل</t>
  </si>
  <si>
    <t>زیان مورد انتظار 12 ماهه
 (12 Months ECL)</t>
  </si>
  <si>
    <t>زیان مورد انتظار  چرخه عمر (Lifetime ECL)</t>
  </si>
  <si>
    <t>1397/12/29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</si>
</sst>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_-;\(#,##0\)\ "/>
  </numFmts>
  <fonts count="11" x14ac:knownFonts="1">
    <font>
      <sz val="11"/>
      <color theme="1"/>
      <name val="Calibri"/>
      <family val="2"/>
      <scheme val="minor"/>
    </font>
    <font>
      <sz val="11"/>
      <color theme="1"/>
      <name val="B Nazanin"/>
      <charset val="178"/>
    </font>
    <font>
      <b/>
      <sz val="11"/>
      <color theme="1"/>
      <name val="B Nazanin"/>
      <charset val="178"/>
    </font>
    <font>
      <sz val="11"/>
      <color theme="1"/>
      <name val="Calibri"/>
      <family val="2"/>
      <scheme val="minor"/>
    </font>
    <font>
      <b/>
      <sz val="12"/>
      <color theme="1"/>
      <name val="B Nazanin"/>
      <charset val="178"/>
    </font>
    <font>
      <sz val="12"/>
      <color theme="1"/>
      <name val="B Nazanin"/>
      <charset val="178"/>
    </font>
    <font>
      <sz val="14"/>
      <color theme="1"/>
      <name val="B Nazanin"/>
      <charset val="178"/>
    </font>
    <font>
      <b/>
      <sz val="14"/>
      <color theme="1"/>
      <name val="B Nazanin"/>
      <charset val="178"/>
    </font>
    <font>
      <sz val="13"/>
      <color theme="1"/>
      <name val="B Nazanin"/>
      <charset val="178"/>
    </font>
    <font>
      <b/>
      <sz val="13"/>
      <color theme="1"/>
      <name val="B Nazanin"/>
      <charset val="178"/>
    </font>
    <font>
      <b/>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00B050"/>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3" fillId="0" borderId="0" applyFont="0" applyFill="0" applyBorder="0" applyAlignment="0" applyProtection="0"/>
  </cellStyleXfs>
  <cellXfs count="118">
    <xf numFmtId="0" fontId="0" fillId="0" borderId="0" xfId="0"/>
    <xf numFmtId="0" fontId="2" fillId="0" borderId="0" xfId="0" applyFont="1" applyFill="1"/>
    <xf numFmtId="0" fontId="1" fillId="0" borderId="0" xfId="0" applyFont="1" applyFill="1"/>
    <xf numFmtId="0" fontId="1" fillId="0" borderId="0" xfId="0" applyFont="1" applyFill="1" applyAlignment="1">
      <alignment horizontal="center"/>
    </xf>
    <xf numFmtId="1" fontId="1" fillId="0" borderId="0" xfId="0" applyNumberFormat="1" applyFont="1" applyFill="1" applyAlignment="1">
      <alignment horizontal="center"/>
    </xf>
    <xf numFmtId="1" fontId="2" fillId="0" borderId="4" xfId="0" applyNumberFormat="1" applyFont="1" applyFill="1" applyBorder="1" applyAlignment="1">
      <alignment horizontal="center"/>
    </xf>
    <xf numFmtId="0" fontId="1" fillId="0" borderId="0" xfId="0" applyFont="1" applyFill="1" applyAlignment="1">
      <alignment readingOrder="2"/>
    </xf>
    <xf numFmtId="0" fontId="2" fillId="0" borderId="4" xfId="0" applyFont="1" applyFill="1" applyBorder="1"/>
    <xf numFmtId="0" fontId="1" fillId="0" borderId="0" xfId="0" applyFont="1" applyFill="1" applyAlignment="1">
      <alignment wrapText="1"/>
    </xf>
    <xf numFmtId="165" fontId="1" fillId="0" borderId="0" xfId="1" applyNumberFormat="1" applyFont="1" applyFill="1" applyAlignment="1">
      <alignment horizontal="center"/>
    </xf>
    <xf numFmtId="9" fontId="1" fillId="0" borderId="0" xfId="0" applyNumberFormat="1" applyFont="1" applyFill="1" applyAlignment="1">
      <alignment horizontal="center"/>
    </xf>
    <xf numFmtId="165" fontId="1" fillId="0" borderId="0" xfId="0" applyNumberFormat="1" applyFont="1" applyFill="1" applyAlignment="1">
      <alignment horizontal="center"/>
    </xf>
    <xf numFmtId="0" fontId="4" fillId="0" borderId="0" xfId="0" applyFont="1" applyFill="1"/>
    <xf numFmtId="0" fontId="5" fillId="0" borderId="0" xfId="0" applyFont="1" applyFill="1"/>
    <xf numFmtId="0" fontId="5" fillId="0" borderId="0" xfId="0" applyFont="1" applyFill="1" applyAlignment="1">
      <alignment horizontal="right" wrapText="1" readingOrder="2"/>
    </xf>
    <xf numFmtId="0" fontId="4" fillId="0" borderId="1" xfId="0" applyFont="1" applyFill="1" applyBorder="1"/>
    <xf numFmtId="0" fontId="5" fillId="3" borderId="0" xfId="0" applyFont="1" applyFill="1"/>
    <xf numFmtId="0" fontId="5" fillId="4" borderId="0" xfId="0" applyFont="1" applyFill="1"/>
    <xf numFmtId="0" fontId="4" fillId="0" borderId="3" xfId="0" applyFont="1" applyFill="1" applyBorder="1"/>
    <xf numFmtId="0" fontId="5" fillId="0" borderId="0" xfId="0" applyFont="1" applyFill="1" applyAlignment="1">
      <alignment horizontal="center"/>
    </xf>
    <xf numFmtId="0" fontId="5" fillId="0" borderId="0" xfId="0" applyNumberFormat="1" applyFont="1" applyFill="1" applyAlignment="1">
      <alignment horizontal="center"/>
    </xf>
    <xf numFmtId="1" fontId="5" fillId="0" borderId="0" xfId="0" applyNumberFormat="1" applyFont="1" applyFill="1" applyAlignment="1">
      <alignment horizontal="center"/>
    </xf>
    <xf numFmtId="167" fontId="6" fillId="3" borderId="0" xfId="0" applyNumberFormat="1" applyFont="1" applyFill="1"/>
    <xf numFmtId="167" fontId="6" fillId="4" borderId="0" xfId="0" applyNumberFormat="1" applyFont="1" applyFill="1"/>
    <xf numFmtId="167" fontId="6" fillId="5" borderId="0" xfId="0" applyNumberFormat="1" applyFont="1" applyFill="1"/>
    <xf numFmtId="167" fontId="6" fillId="3" borderId="1" xfId="0" applyNumberFormat="1" applyFont="1" applyFill="1" applyBorder="1"/>
    <xf numFmtId="167" fontId="6" fillId="4" borderId="1" xfId="0" applyNumberFormat="1" applyFont="1" applyFill="1" applyBorder="1"/>
    <xf numFmtId="167" fontId="6" fillId="5" borderId="1" xfId="0" applyNumberFormat="1" applyFont="1" applyFill="1" applyBorder="1"/>
    <xf numFmtId="9" fontId="7" fillId="3" borderId="3" xfId="0" applyNumberFormat="1" applyFont="1" applyFill="1" applyBorder="1"/>
    <xf numFmtId="164" fontId="7" fillId="3" borderId="3" xfId="0" applyNumberFormat="1" applyFont="1" applyFill="1" applyBorder="1"/>
    <xf numFmtId="9" fontId="7" fillId="4" borderId="3" xfId="0" applyNumberFormat="1" applyFont="1" applyFill="1" applyBorder="1"/>
    <xf numFmtId="164" fontId="7" fillId="4" borderId="3" xfId="0" applyNumberFormat="1" applyFont="1" applyFill="1" applyBorder="1"/>
    <xf numFmtId="9" fontId="7" fillId="5" borderId="3" xfId="0" applyNumberFormat="1" applyFont="1" applyFill="1" applyBorder="1"/>
    <xf numFmtId="164" fontId="7" fillId="5" borderId="3" xfId="0" applyNumberFormat="1" applyFont="1" applyFill="1" applyBorder="1"/>
    <xf numFmtId="0" fontId="5" fillId="3" borderId="2" xfId="0" applyFont="1" applyFill="1" applyBorder="1" applyAlignment="1">
      <alignment horizontal="center" wrapText="1"/>
    </xf>
    <xf numFmtId="0" fontId="5" fillId="4" borderId="2" xfId="0" applyFont="1" applyFill="1" applyBorder="1" applyAlignment="1">
      <alignment horizontal="center" wrapText="1"/>
    </xf>
    <xf numFmtId="0" fontId="5" fillId="5" borderId="2" xfId="0" applyFont="1" applyFill="1" applyBorder="1" applyAlignment="1">
      <alignment horizontal="center" wrapText="1"/>
    </xf>
    <xf numFmtId="0" fontId="4" fillId="0" borderId="0"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4" fillId="3" borderId="0" xfId="0" applyFont="1" applyFill="1" applyAlignment="1">
      <alignment horizontal="center"/>
    </xf>
    <xf numFmtId="0" fontId="5" fillId="3" borderId="0" xfId="0" applyFont="1" applyFill="1" applyAlignment="1">
      <alignment horizontal="center"/>
    </xf>
    <xf numFmtId="0" fontId="5" fillId="3" borderId="0" xfId="0" applyNumberFormat="1" applyFont="1" applyFill="1" applyAlignment="1">
      <alignment horizontal="center"/>
    </xf>
    <xf numFmtId="49" fontId="4" fillId="3" borderId="4" xfId="0" applyNumberFormat="1" applyFont="1" applyFill="1" applyBorder="1" applyAlignment="1">
      <alignment horizontal="center"/>
    </xf>
    <xf numFmtId="0" fontId="4" fillId="4" borderId="1" xfId="0" applyFont="1" applyFill="1" applyBorder="1" applyAlignment="1">
      <alignment horizontal="center" vertical="center"/>
    </xf>
    <xf numFmtId="0" fontId="4" fillId="4" borderId="0" xfId="0" applyFont="1" applyFill="1" applyAlignment="1">
      <alignment horizontal="center"/>
    </xf>
    <xf numFmtId="0" fontId="5" fillId="4" borderId="0" xfId="0" applyFont="1" applyFill="1" applyAlignment="1">
      <alignment horizontal="center"/>
    </xf>
    <xf numFmtId="49" fontId="5" fillId="4" borderId="0" xfId="0" applyNumberFormat="1" applyFont="1" applyFill="1" applyAlignment="1">
      <alignment horizontal="center"/>
    </xf>
    <xf numFmtId="1" fontId="5" fillId="4" borderId="0" xfId="0" applyNumberFormat="1" applyFont="1" applyFill="1" applyAlignment="1">
      <alignment horizontal="center"/>
    </xf>
    <xf numFmtId="1" fontId="4" fillId="4" borderId="4" xfId="0" applyNumberFormat="1" applyFont="1" applyFill="1" applyBorder="1" applyAlignment="1">
      <alignment horizontal="center"/>
    </xf>
    <xf numFmtId="0" fontId="4" fillId="5" borderId="0" xfId="0" applyFont="1" applyFill="1" applyAlignment="1">
      <alignment horizontal="center"/>
    </xf>
    <xf numFmtId="1" fontId="5" fillId="5" borderId="0" xfId="0" applyNumberFormat="1" applyFont="1" applyFill="1" applyAlignment="1">
      <alignment horizontal="center"/>
    </xf>
    <xf numFmtId="1" fontId="4" fillId="5" borderId="4" xfId="0" applyNumberFormat="1" applyFont="1" applyFill="1" applyBorder="1" applyAlignment="1">
      <alignment horizontal="center"/>
    </xf>
    <xf numFmtId="0" fontId="5" fillId="2" borderId="0" xfId="0" applyFont="1" applyFill="1"/>
    <xf numFmtId="0" fontId="5" fillId="2" borderId="0" xfId="0" applyFont="1" applyFill="1" applyAlignment="1">
      <alignment horizontal="center"/>
    </xf>
    <xf numFmtId="0" fontId="4" fillId="2" borderId="0" xfId="0" applyFont="1" applyFill="1"/>
    <xf numFmtId="49" fontId="4" fillId="3" borderId="0" xfId="0" applyNumberFormat="1" applyFont="1" applyFill="1" applyBorder="1" applyAlignment="1">
      <alignment horizontal="center"/>
    </xf>
    <xf numFmtId="0" fontId="4" fillId="3" borderId="1" xfId="0" applyFont="1" applyFill="1" applyBorder="1" applyAlignment="1">
      <alignment horizontal="center"/>
    </xf>
    <xf numFmtId="0" fontId="5" fillId="6" borderId="0" xfId="0" applyFont="1" applyFill="1"/>
    <xf numFmtId="0" fontId="4" fillId="4" borderId="1" xfId="0" applyFont="1" applyFill="1" applyBorder="1" applyAlignment="1">
      <alignment horizontal="center"/>
    </xf>
    <xf numFmtId="165" fontId="8" fillId="6" borderId="0" xfId="1" applyNumberFormat="1" applyFont="1" applyFill="1" applyAlignment="1">
      <alignment horizontal="center"/>
    </xf>
    <xf numFmtId="0" fontId="8" fillId="6" borderId="0" xfId="0" applyFont="1" applyFill="1"/>
    <xf numFmtId="9" fontId="8" fillId="6" borderId="0" xfId="0" applyNumberFormat="1" applyFont="1" applyFill="1" applyAlignment="1">
      <alignment horizontal="center"/>
    </xf>
    <xf numFmtId="164" fontId="8" fillId="6" borderId="0" xfId="0" applyNumberFormat="1" applyFont="1" applyFill="1" applyAlignment="1">
      <alignment horizontal="center"/>
    </xf>
    <xf numFmtId="165" fontId="8" fillId="8" borderId="0" xfId="1" applyNumberFormat="1" applyFont="1" applyFill="1" applyAlignment="1">
      <alignment horizontal="center"/>
    </xf>
    <xf numFmtId="0" fontId="8" fillId="8" borderId="0" xfId="0" applyFont="1" applyFill="1" applyAlignment="1">
      <alignment horizontal="center"/>
    </xf>
    <xf numFmtId="165" fontId="9" fillId="4" borderId="5" xfId="1" applyNumberFormat="1" applyFont="1" applyFill="1" applyBorder="1" applyAlignment="1">
      <alignment horizontal="center"/>
    </xf>
    <xf numFmtId="0" fontId="8" fillId="4" borderId="0" xfId="0" applyFont="1" applyFill="1" applyAlignment="1">
      <alignment horizontal="center"/>
    </xf>
    <xf numFmtId="165" fontId="9" fillId="4" borderId="3" xfId="1" applyNumberFormat="1" applyFont="1" applyFill="1" applyBorder="1" applyAlignment="1">
      <alignment horizontal="center"/>
    </xf>
    <xf numFmtId="165" fontId="8" fillId="0" borderId="0" xfId="1" applyNumberFormat="1" applyFont="1" applyFill="1" applyAlignment="1">
      <alignment horizontal="center"/>
    </xf>
    <xf numFmtId="165" fontId="9" fillId="6" borderId="0" xfId="1" applyNumberFormat="1" applyFont="1" applyFill="1" applyAlignment="1">
      <alignment horizontal="center"/>
    </xf>
    <xf numFmtId="165" fontId="9" fillId="9" borderId="4" xfId="0" applyNumberFormat="1" applyFont="1" applyFill="1" applyBorder="1" applyAlignment="1">
      <alignment horizontal="center"/>
    </xf>
    <xf numFmtId="165" fontId="8" fillId="0" borderId="0" xfId="0" applyNumberFormat="1" applyFont="1" applyFill="1" applyAlignment="1">
      <alignment horizontal="center"/>
    </xf>
    <xf numFmtId="0" fontId="8" fillId="0" borderId="0" xfId="0" applyFont="1" applyFill="1"/>
    <xf numFmtId="0" fontId="4" fillId="6" borderId="1" xfId="0" applyFont="1" applyFill="1" applyBorder="1" applyAlignment="1">
      <alignment vertical="center"/>
    </xf>
    <xf numFmtId="0" fontId="4" fillId="6" borderId="1" xfId="0" applyFont="1" applyFill="1" applyBorder="1"/>
    <xf numFmtId="0" fontId="4" fillId="8" borderId="1" xfId="0" applyFont="1" applyFill="1" applyBorder="1" applyAlignment="1">
      <alignment horizontal="center" vertical="center" wrapText="1"/>
    </xf>
    <xf numFmtId="0" fontId="4" fillId="5" borderId="1" xfId="0" applyFont="1" applyFill="1" applyBorder="1" applyAlignment="1">
      <alignment vertical="center" wrapText="1"/>
    </xf>
    <xf numFmtId="0" fontId="6" fillId="8" borderId="0" xfId="0" applyFont="1" applyFill="1" applyAlignment="1">
      <alignment horizontal="center"/>
    </xf>
    <xf numFmtId="0" fontId="6" fillId="5" borderId="0" xfId="0" applyFont="1" applyFill="1" applyAlignment="1">
      <alignment horizontal="center"/>
    </xf>
    <xf numFmtId="1" fontId="6" fillId="5" borderId="0" xfId="0" applyNumberFormat="1" applyFont="1" applyFill="1" applyAlignment="1">
      <alignment horizontal="center"/>
    </xf>
    <xf numFmtId="0" fontId="7" fillId="8" borderId="4" xfId="0" applyFont="1" applyFill="1" applyBorder="1" applyAlignment="1">
      <alignment horizontal="center"/>
    </xf>
    <xf numFmtId="1" fontId="7" fillId="5" borderId="4" xfId="0" applyNumberFormat="1" applyFont="1" applyFill="1" applyBorder="1" applyAlignment="1">
      <alignment horizontal="center"/>
    </xf>
    <xf numFmtId="0" fontId="8" fillId="7" borderId="0" xfId="0" applyFont="1" applyFill="1" applyAlignment="1">
      <alignment horizontal="center"/>
    </xf>
    <xf numFmtId="0" fontId="4" fillId="7" borderId="1" xfId="0" applyFont="1" applyFill="1" applyBorder="1" applyAlignment="1">
      <alignment horizontal="center" vertical="center"/>
    </xf>
    <xf numFmtId="0" fontId="4" fillId="6" borderId="0" xfId="0" applyFont="1" applyFill="1"/>
    <xf numFmtId="0" fontId="2" fillId="6" borderId="1" xfId="0" applyFont="1" applyFill="1" applyBorder="1" applyAlignment="1">
      <alignment horizontal="center" wrapText="1"/>
    </xf>
    <xf numFmtId="0" fontId="2" fillId="5" borderId="3" xfId="0" applyFont="1" applyFill="1" applyBorder="1" applyAlignment="1">
      <alignment horizontal="center" vertical="center" wrapText="1"/>
    </xf>
    <xf numFmtId="0" fontId="6" fillId="3" borderId="0" xfId="0" applyFont="1" applyFill="1" applyAlignment="1">
      <alignment vertical="center"/>
    </xf>
    <xf numFmtId="9" fontId="6" fillId="6" borderId="0" xfId="0" applyNumberFormat="1" applyFont="1" applyFill="1" applyAlignment="1">
      <alignment horizontal="center" vertical="center"/>
    </xf>
    <xf numFmtId="9" fontId="6" fillId="8" borderId="0" xfId="0" applyNumberFormat="1" applyFont="1" applyFill="1" applyAlignment="1">
      <alignment horizontal="center" vertical="center"/>
    </xf>
    <xf numFmtId="0" fontId="6" fillId="8" borderId="0" xfId="0" applyFont="1" applyFill="1" applyAlignment="1">
      <alignment horizontal="center" vertical="center"/>
    </xf>
    <xf numFmtId="0" fontId="6" fillId="4" borderId="0" xfId="0" applyFont="1" applyFill="1" applyAlignment="1">
      <alignment horizontal="center" vertical="center"/>
    </xf>
    <xf numFmtId="166" fontId="6" fillId="5" borderId="0" xfId="0" applyNumberFormat="1" applyFont="1" applyFill="1" applyAlignment="1">
      <alignment horizontal="center" vertical="center"/>
    </xf>
    <xf numFmtId="0" fontId="2" fillId="6" borderId="1" xfId="0" applyFont="1" applyFill="1" applyBorder="1" applyAlignment="1">
      <alignment horizontal="center" vertical="center" wrapText="1" readingOrder="2"/>
    </xf>
    <xf numFmtId="0" fontId="5" fillId="0" borderId="0" xfId="0" applyFont="1" applyFill="1" applyAlignment="1">
      <alignment horizontal="right" wrapText="1" readingOrder="2"/>
    </xf>
    <xf numFmtId="0" fontId="4"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0" xfId="0" applyFont="1" applyFill="1" applyBorder="1" applyAlignment="1">
      <alignment horizontal="center" wrapText="1"/>
    </xf>
    <xf numFmtId="0" fontId="5" fillId="0" borderId="0" xfId="0" applyFont="1" applyFill="1" applyAlignment="1">
      <alignment horizontal="right" wrapText="1"/>
    </xf>
    <xf numFmtId="0" fontId="5" fillId="0" borderId="0" xfId="0" applyFont="1" applyFill="1" applyAlignment="1">
      <alignment horizontal="right" readingOrder="2"/>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2" fillId="5" borderId="1" xfId="0" applyFont="1" applyFill="1" applyBorder="1" applyAlignment="1">
      <alignment horizontal="center" vertical="center"/>
    </xf>
    <xf numFmtId="0" fontId="1" fillId="0" borderId="0" xfId="0" applyFont="1" applyFill="1" applyAlignment="1">
      <alignment horizontal="right"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0" fillId="4" borderId="1" xfId="0" applyFont="1" applyFill="1" applyBorder="1" applyAlignment="1">
      <alignmen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rightToLeft="1" tabSelected="1" workbookViewId="0"/>
  </sheetViews>
  <sheetFormatPr defaultRowHeight="21" x14ac:dyDescent="0.55000000000000004"/>
  <cols>
    <col min="1" max="1" width="14.140625" style="12" customWidth="1"/>
    <col min="2" max="6" width="12.140625" style="13" customWidth="1"/>
    <col min="7" max="7" width="13.42578125" style="13" customWidth="1"/>
    <col min="8" max="8" width="14.85546875" style="13" customWidth="1"/>
    <col min="9" max="9" width="13.42578125" style="13" customWidth="1"/>
    <col min="10" max="10" width="12.5703125" style="13" customWidth="1"/>
    <col min="11" max="16384" width="9.140625" style="13"/>
  </cols>
  <sheetData>
    <row r="2" spans="1:7" x14ac:dyDescent="0.55000000000000004">
      <c r="A2" s="12" t="s">
        <v>0</v>
      </c>
    </row>
    <row r="5" spans="1:7" ht="22.5" customHeight="1" x14ac:dyDescent="0.45">
      <c r="A5" s="97" t="s">
        <v>27</v>
      </c>
      <c r="B5" s="97"/>
      <c r="C5" s="97"/>
      <c r="D5" s="97"/>
      <c r="E5" s="97"/>
      <c r="F5" s="97"/>
      <c r="G5" s="97"/>
    </row>
    <row r="6" spans="1:7" ht="22.5" customHeight="1" x14ac:dyDescent="0.45">
      <c r="A6" s="14"/>
      <c r="B6" s="14"/>
      <c r="C6" s="14"/>
      <c r="D6" s="14"/>
      <c r="E6" s="14"/>
      <c r="F6" s="14"/>
      <c r="G6" s="14"/>
    </row>
    <row r="7" spans="1:7" ht="41.25" customHeight="1" x14ac:dyDescent="0.55000000000000004">
      <c r="B7" s="98" t="s">
        <v>26</v>
      </c>
      <c r="C7" s="98"/>
      <c r="D7" s="99" t="s">
        <v>21</v>
      </c>
      <c r="E7" s="99"/>
      <c r="F7" s="100" t="s">
        <v>91</v>
      </c>
      <c r="G7" s="100"/>
    </row>
    <row r="8" spans="1:7" ht="21.75" thickBot="1" x14ac:dyDescent="0.6">
      <c r="B8" s="34" t="s">
        <v>18</v>
      </c>
      <c r="C8" s="34" t="s">
        <v>19</v>
      </c>
      <c r="D8" s="35" t="s">
        <v>18</v>
      </c>
      <c r="E8" s="35" t="s">
        <v>19</v>
      </c>
      <c r="F8" s="36" t="s">
        <v>18</v>
      </c>
      <c r="G8" s="36" t="s">
        <v>19</v>
      </c>
    </row>
    <row r="9" spans="1:7" ht="22.5" x14ac:dyDescent="0.55000000000000004">
      <c r="A9" s="15" t="s">
        <v>13</v>
      </c>
      <c r="B9" s="22">
        <v>300</v>
      </c>
      <c r="C9" s="22">
        <v>300</v>
      </c>
      <c r="D9" s="23">
        <v>300</v>
      </c>
      <c r="E9" s="23">
        <v>300</v>
      </c>
      <c r="F9" s="24">
        <v>300</v>
      </c>
      <c r="G9" s="24">
        <v>300</v>
      </c>
    </row>
    <row r="10" spans="1:7" ht="22.5" x14ac:dyDescent="0.55000000000000004">
      <c r="A10" s="13" t="s">
        <v>22</v>
      </c>
      <c r="B10" s="22">
        <v>0</v>
      </c>
      <c r="C10" s="22">
        <v>0</v>
      </c>
      <c r="D10" s="23">
        <f>D9*-0.05</f>
        <v>-15</v>
      </c>
      <c r="E10" s="23">
        <f>E9*-0.05</f>
        <v>-15</v>
      </c>
      <c r="F10" s="24">
        <v>0</v>
      </c>
      <c r="G10" s="24">
        <v>0</v>
      </c>
    </row>
    <row r="11" spans="1:7" ht="22.5" x14ac:dyDescent="0.55000000000000004">
      <c r="A11" s="13" t="s">
        <v>23</v>
      </c>
      <c r="B11" s="25">
        <v>0</v>
      </c>
      <c r="C11" s="25">
        <v>0</v>
      </c>
      <c r="D11" s="26">
        <v>0</v>
      </c>
      <c r="E11" s="26">
        <v>0</v>
      </c>
      <c r="F11" s="27">
        <f>F9*-0.2</f>
        <v>-60</v>
      </c>
      <c r="G11" s="27">
        <f>G9*-0.2</f>
        <v>-60</v>
      </c>
    </row>
    <row r="12" spans="1:7" ht="22.5" x14ac:dyDescent="0.55000000000000004">
      <c r="A12" s="13" t="s">
        <v>24</v>
      </c>
      <c r="B12" s="22">
        <f t="shared" ref="B12:G12" si="0">SUM(B9:B11)</f>
        <v>300</v>
      </c>
      <c r="C12" s="22">
        <f t="shared" si="0"/>
        <v>300</v>
      </c>
      <c r="D12" s="23">
        <f t="shared" si="0"/>
        <v>285</v>
      </c>
      <c r="E12" s="23">
        <f t="shared" si="0"/>
        <v>285</v>
      </c>
      <c r="F12" s="24">
        <f t="shared" si="0"/>
        <v>240</v>
      </c>
      <c r="G12" s="24">
        <f t="shared" si="0"/>
        <v>240</v>
      </c>
    </row>
    <row r="13" spans="1:7" ht="22.5" x14ac:dyDescent="0.55000000000000004">
      <c r="A13" s="13"/>
      <c r="B13" s="22"/>
      <c r="C13" s="22"/>
      <c r="D13" s="23"/>
      <c r="E13" s="23"/>
      <c r="F13" s="24"/>
      <c r="G13" s="24"/>
    </row>
    <row r="14" spans="1:7" ht="22.5" x14ac:dyDescent="0.55000000000000004">
      <c r="A14" s="15" t="s">
        <v>25</v>
      </c>
      <c r="B14" s="22"/>
      <c r="C14" s="22"/>
      <c r="D14" s="23"/>
      <c r="E14" s="23"/>
      <c r="F14" s="24"/>
      <c r="G14" s="24"/>
    </row>
    <row r="15" spans="1:7" ht="22.5" x14ac:dyDescent="0.55000000000000004">
      <c r="A15" s="13" t="s">
        <v>14</v>
      </c>
      <c r="B15" s="22">
        <v>0</v>
      </c>
      <c r="C15" s="22">
        <v>0</v>
      </c>
      <c r="D15" s="23">
        <v>-160</v>
      </c>
      <c r="E15" s="23">
        <v>-160</v>
      </c>
      <c r="F15" s="24">
        <v>-140</v>
      </c>
      <c r="G15" s="24">
        <v>-140</v>
      </c>
    </row>
    <row r="16" spans="1:7" ht="22.5" x14ac:dyDescent="0.55000000000000004">
      <c r="A16" s="13" t="s">
        <v>15</v>
      </c>
      <c r="B16" s="22">
        <v>-160</v>
      </c>
      <c r="C16" s="22">
        <v>-160</v>
      </c>
      <c r="D16" s="23">
        <v>-140</v>
      </c>
      <c r="E16" s="23">
        <v>-140</v>
      </c>
      <c r="F16" s="24">
        <v>-120</v>
      </c>
      <c r="G16" s="24">
        <v>-120</v>
      </c>
    </row>
    <row r="17" spans="1:7" ht="22.5" x14ac:dyDescent="0.55000000000000004">
      <c r="A17" s="13" t="s">
        <v>16</v>
      </c>
      <c r="B17" s="22">
        <v>-140</v>
      </c>
      <c r="C17" s="22">
        <v>-140</v>
      </c>
      <c r="D17" s="23">
        <v>-120</v>
      </c>
      <c r="E17" s="23">
        <v>-120</v>
      </c>
      <c r="F17" s="24">
        <v>-100</v>
      </c>
      <c r="G17" s="24">
        <v>-100</v>
      </c>
    </row>
    <row r="18" spans="1:7" ht="22.5" x14ac:dyDescent="0.55000000000000004">
      <c r="A18" s="13" t="s">
        <v>17</v>
      </c>
      <c r="B18" s="22">
        <v>-120</v>
      </c>
      <c r="C18" s="22">
        <v>-120</v>
      </c>
      <c r="D18" s="23">
        <v>0</v>
      </c>
      <c r="E18" s="23">
        <v>0</v>
      </c>
      <c r="F18" s="24">
        <v>0</v>
      </c>
      <c r="G18" s="24">
        <v>0</v>
      </c>
    </row>
    <row r="19" spans="1:7" ht="22.5" x14ac:dyDescent="0.55000000000000004">
      <c r="B19" s="22"/>
      <c r="C19" s="22"/>
      <c r="D19" s="23"/>
      <c r="E19" s="23"/>
      <c r="F19" s="24"/>
      <c r="G19" s="24"/>
    </row>
    <row r="20" spans="1:7" ht="24" x14ac:dyDescent="0.6">
      <c r="A20" s="18" t="s">
        <v>20</v>
      </c>
      <c r="B20" s="28">
        <v>0.2</v>
      </c>
      <c r="C20" s="29">
        <v>0.12455119849081811</v>
      </c>
      <c r="D20" s="30">
        <v>0.2</v>
      </c>
      <c r="E20" s="31">
        <v>0.23512345038124408</v>
      </c>
      <c r="F20" s="32">
        <v>0.2</v>
      </c>
      <c r="G20" s="33">
        <v>0.24999999999999981</v>
      </c>
    </row>
  </sheetData>
  <mergeCells count="4">
    <mergeCell ref="A5:G5"/>
    <mergeCell ref="B7:C7"/>
    <mergeCell ref="D7:E7"/>
    <mergeCell ref="F7:G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rightToLeft="1" workbookViewId="0">
      <selection activeCell="B4" sqref="B4"/>
    </sheetView>
  </sheetViews>
  <sheetFormatPr defaultRowHeight="21" x14ac:dyDescent="0.55000000000000004"/>
  <cols>
    <col min="1" max="1" width="9.42578125" style="12" customWidth="1"/>
    <col min="2" max="2" width="9" style="13" customWidth="1"/>
    <col min="3" max="3" width="1.5703125" style="13" customWidth="1"/>
    <col min="4" max="4" width="12.140625" style="13" customWidth="1"/>
    <col min="5" max="5" width="5.140625" style="13" bestFit="1" customWidth="1"/>
    <col min="6" max="6" width="8.28515625" style="13" bestFit="1" customWidth="1"/>
    <col min="7" max="7" width="1.28515625" style="13" customWidth="1"/>
    <col min="8" max="8" width="12.140625" style="13" customWidth="1"/>
    <col min="9" max="9" width="5.140625" style="13" bestFit="1" customWidth="1"/>
    <col min="10" max="10" width="8.28515625" style="13" bestFit="1" customWidth="1"/>
    <col min="11" max="11" width="1.140625" style="13" customWidth="1"/>
    <col min="12" max="12" width="13.42578125" style="13" customWidth="1"/>
    <col min="13" max="13" width="12.5703125" style="13" customWidth="1"/>
    <col min="14" max="16384" width="9.140625" style="13"/>
  </cols>
  <sheetData>
    <row r="2" spans="1:12" x14ac:dyDescent="0.55000000000000004">
      <c r="A2" s="12" t="s">
        <v>0</v>
      </c>
    </row>
    <row r="7" spans="1:12" x14ac:dyDescent="0.55000000000000004">
      <c r="A7" s="103" t="s">
        <v>90</v>
      </c>
      <c r="B7" s="103"/>
      <c r="C7" s="103"/>
      <c r="D7" s="103"/>
      <c r="E7" s="103"/>
      <c r="F7" s="103"/>
      <c r="G7" s="103"/>
      <c r="H7" s="103"/>
      <c r="I7" s="103"/>
    </row>
    <row r="9" spans="1:12" ht="19.5" customHeight="1" x14ac:dyDescent="0.55000000000000004">
      <c r="B9" s="104" t="s">
        <v>34</v>
      </c>
      <c r="C9" s="37"/>
      <c r="D9" s="106" t="s">
        <v>28</v>
      </c>
      <c r="E9" s="106"/>
      <c r="F9" s="106"/>
      <c r="G9" s="39"/>
      <c r="H9" s="107" t="s">
        <v>29</v>
      </c>
      <c r="I9" s="107"/>
      <c r="J9" s="107"/>
      <c r="K9" s="39"/>
      <c r="L9" s="101" t="s">
        <v>40</v>
      </c>
    </row>
    <row r="10" spans="1:12" x14ac:dyDescent="0.55000000000000004">
      <c r="B10" s="105"/>
      <c r="C10" s="37"/>
      <c r="D10" s="38" t="s">
        <v>30</v>
      </c>
      <c r="E10" s="38" t="s">
        <v>31</v>
      </c>
      <c r="F10" s="38" t="s">
        <v>32</v>
      </c>
      <c r="G10" s="37"/>
      <c r="H10" s="46" t="s">
        <v>30</v>
      </c>
      <c r="I10" s="46" t="s">
        <v>31</v>
      </c>
      <c r="J10" s="46" t="s">
        <v>32</v>
      </c>
      <c r="K10" s="37"/>
      <c r="L10" s="100"/>
    </row>
    <row r="11" spans="1:12" x14ac:dyDescent="0.55000000000000004">
      <c r="A11" s="13" t="s">
        <v>33</v>
      </c>
      <c r="B11" s="55"/>
      <c r="C11" s="41"/>
      <c r="D11" s="42"/>
      <c r="E11" s="42"/>
      <c r="F11" s="43">
        <v>300</v>
      </c>
      <c r="G11" s="40"/>
      <c r="H11" s="47"/>
      <c r="I11" s="47"/>
      <c r="J11" s="48">
        <v>285</v>
      </c>
      <c r="K11" s="40"/>
      <c r="L11" s="52"/>
    </row>
    <row r="12" spans="1:12" ht="18.75" x14ac:dyDescent="0.45">
      <c r="A12" s="13" t="s">
        <v>14</v>
      </c>
      <c r="B12" s="56">
        <v>160</v>
      </c>
      <c r="C12" s="19"/>
      <c r="D12" s="44" t="s">
        <v>35</v>
      </c>
      <c r="E12" s="44">
        <v>60</v>
      </c>
      <c r="F12" s="44">
        <v>200</v>
      </c>
      <c r="G12" s="20"/>
      <c r="H12" s="49" t="s">
        <v>92</v>
      </c>
      <c r="I12" s="50">
        <f>285*23.5123450381244%</f>
        <v>67.010183358654544</v>
      </c>
      <c r="J12" s="50">
        <f>J11-B12+I12</f>
        <v>192.01018335865456</v>
      </c>
      <c r="K12" s="21"/>
      <c r="L12" s="53">
        <f>I12-E12</f>
        <v>7.0101833586545439</v>
      </c>
    </row>
    <row r="13" spans="1:12" ht="18.75" x14ac:dyDescent="0.45">
      <c r="A13" s="13" t="s">
        <v>15</v>
      </c>
      <c r="B13" s="56">
        <v>140</v>
      </c>
      <c r="C13" s="19"/>
      <c r="D13" s="44" t="s">
        <v>36</v>
      </c>
      <c r="E13" s="44">
        <v>40</v>
      </c>
      <c r="F13" s="44">
        <v>100</v>
      </c>
      <c r="G13" s="20"/>
      <c r="H13" s="49" t="s">
        <v>93</v>
      </c>
      <c r="I13" s="50">
        <f>J12*23.5123450381244%</f>
        <v>45.14609681962218</v>
      </c>
      <c r="J13" s="50">
        <f>J12-B13+I13</f>
        <v>97.156280178276745</v>
      </c>
      <c r="K13" s="21"/>
      <c r="L13" s="53">
        <f>I13-E13</f>
        <v>5.1460968196221799</v>
      </c>
    </row>
    <row r="14" spans="1:12" ht="18.75" x14ac:dyDescent="0.45">
      <c r="A14" s="13" t="s">
        <v>16</v>
      </c>
      <c r="B14" s="56">
        <v>120</v>
      </c>
      <c r="C14" s="19"/>
      <c r="D14" s="44" t="s">
        <v>36</v>
      </c>
      <c r="E14" s="44">
        <v>20</v>
      </c>
      <c r="F14" s="44">
        <v>0</v>
      </c>
      <c r="G14" s="20"/>
      <c r="H14" s="49" t="s">
        <v>94</v>
      </c>
      <c r="I14" s="50">
        <f>J13*23.5123450381244%</f>
        <v>22.843719821723294</v>
      </c>
      <c r="J14" s="50">
        <f>J13-B14+I14</f>
        <v>3.907985046680551E-14</v>
      </c>
      <c r="K14" s="21"/>
      <c r="L14" s="53">
        <f>I14-E14</f>
        <v>2.843719821723294</v>
      </c>
    </row>
    <row r="15" spans="1:12" ht="21.75" thickBot="1" x14ac:dyDescent="0.6">
      <c r="A15" s="12" t="s">
        <v>95</v>
      </c>
      <c r="B15" s="57"/>
      <c r="C15" s="12"/>
      <c r="D15" s="58"/>
      <c r="E15" s="45">
        <f>SUM(E12:E14)</f>
        <v>120</v>
      </c>
      <c r="F15" s="43"/>
      <c r="G15" s="19"/>
      <c r="H15" s="48"/>
      <c r="I15" s="51">
        <f>SUM(I12:I14)</f>
        <v>135</v>
      </c>
      <c r="J15" s="48"/>
      <c r="K15" s="19"/>
      <c r="L15" s="54">
        <f>SUM(L12:L14)</f>
        <v>15.000000000000018</v>
      </c>
    </row>
    <row r="16" spans="1:12" ht="21.75" thickTop="1" x14ac:dyDescent="0.55000000000000004"/>
    <row r="17" spans="2:11" x14ac:dyDescent="0.55000000000000004">
      <c r="B17" s="12" t="s">
        <v>41</v>
      </c>
      <c r="C17" s="12"/>
    </row>
    <row r="18" spans="2:11" x14ac:dyDescent="0.55000000000000004">
      <c r="B18" s="12"/>
      <c r="C18" s="12"/>
      <c r="D18" s="59" t="s">
        <v>42</v>
      </c>
      <c r="E18" s="59" t="s">
        <v>43</v>
      </c>
      <c r="H18" s="61" t="s">
        <v>42</v>
      </c>
      <c r="I18" s="61" t="s">
        <v>43</v>
      </c>
      <c r="J18" s="39"/>
      <c r="K18" s="39"/>
    </row>
    <row r="19" spans="2:11" x14ac:dyDescent="0.55000000000000004">
      <c r="B19" s="55" t="s">
        <v>37</v>
      </c>
      <c r="D19" s="43">
        <v>160</v>
      </c>
      <c r="E19" s="16"/>
      <c r="H19" s="48">
        <v>160</v>
      </c>
      <c r="I19" s="48"/>
      <c r="J19" s="41"/>
    </row>
    <row r="20" spans="2:11" x14ac:dyDescent="0.55000000000000004">
      <c r="B20" s="55" t="s">
        <v>39</v>
      </c>
      <c r="D20" s="16"/>
      <c r="E20" s="43">
        <v>100</v>
      </c>
      <c r="F20" s="19"/>
      <c r="G20" s="19"/>
      <c r="H20" s="17"/>
      <c r="I20" s="48">
        <v>93</v>
      </c>
      <c r="J20" s="40"/>
      <c r="K20" s="19"/>
    </row>
    <row r="21" spans="2:11" x14ac:dyDescent="0.55000000000000004">
      <c r="B21" s="55" t="s">
        <v>38</v>
      </c>
      <c r="D21" s="16"/>
      <c r="E21" s="43">
        <v>60</v>
      </c>
      <c r="F21" s="19"/>
      <c r="G21" s="19"/>
      <c r="H21" s="17"/>
      <c r="I21" s="48">
        <v>67</v>
      </c>
      <c r="J21" s="40"/>
      <c r="K21" s="19"/>
    </row>
    <row r="23" spans="2:11" ht="99.75" customHeight="1" x14ac:dyDescent="0.55000000000000004">
      <c r="B23" s="102" t="s">
        <v>44</v>
      </c>
      <c r="C23" s="102"/>
      <c r="D23" s="102"/>
      <c r="E23" s="102"/>
      <c r="F23" s="102"/>
      <c r="G23" s="102"/>
      <c r="H23" s="102"/>
      <c r="I23" s="102"/>
    </row>
  </sheetData>
  <mergeCells count="6">
    <mergeCell ref="L9:L10"/>
    <mergeCell ref="B23:I23"/>
    <mergeCell ref="A7:I7"/>
    <mergeCell ref="B9:B10"/>
    <mergeCell ref="D9:F9"/>
    <mergeCell ref="H9:J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4"/>
  <sheetViews>
    <sheetView rightToLeft="1" topLeftCell="A38" workbookViewId="0">
      <selection activeCell="E47" sqref="E47"/>
    </sheetView>
  </sheetViews>
  <sheetFormatPr defaultRowHeight="19.5" x14ac:dyDescent="0.5"/>
  <cols>
    <col min="1" max="1" width="14.140625" style="1" customWidth="1"/>
    <col min="2" max="2" width="34.140625" style="2" customWidth="1"/>
    <col min="3" max="6" width="12.140625" style="2" customWidth="1"/>
    <col min="7" max="7" width="13.42578125" style="2" customWidth="1"/>
    <col min="8" max="8" width="16.42578125" style="2" customWidth="1"/>
    <col min="9" max="9" width="13.42578125" style="2" customWidth="1"/>
    <col min="10" max="10" width="12.5703125" style="2" customWidth="1"/>
    <col min="11" max="16384" width="9.140625" style="2"/>
  </cols>
  <sheetData>
    <row r="2" spans="1:8" x14ac:dyDescent="0.5">
      <c r="A2" s="1" t="s">
        <v>1</v>
      </c>
    </row>
    <row r="4" spans="1:8" x14ac:dyDescent="0.5">
      <c r="B4" s="2" t="s">
        <v>49</v>
      </c>
    </row>
    <row r="5" spans="1:8" x14ac:dyDescent="0.5">
      <c r="B5" s="2" t="s">
        <v>89</v>
      </c>
    </row>
    <row r="6" spans="1:8" x14ac:dyDescent="0.5">
      <c r="B6" s="2" t="s">
        <v>45</v>
      </c>
    </row>
    <row r="7" spans="1:8" x14ac:dyDescent="0.5">
      <c r="B7" s="2" t="s">
        <v>46</v>
      </c>
    </row>
    <row r="8" spans="1:8" x14ac:dyDescent="0.5">
      <c r="B8" s="2" t="s">
        <v>47</v>
      </c>
    </row>
    <row r="9" spans="1:8" x14ac:dyDescent="0.5">
      <c r="B9" s="2" t="s">
        <v>61</v>
      </c>
    </row>
    <row r="10" spans="1:8" x14ac:dyDescent="0.5">
      <c r="B10" s="6"/>
      <c r="C10" s="6" t="s">
        <v>62</v>
      </c>
    </row>
    <row r="11" spans="1:8" x14ac:dyDescent="0.5">
      <c r="B11" s="6"/>
      <c r="C11" s="6" t="s">
        <v>63</v>
      </c>
    </row>
    <row r="12" spans="1:8" x14ac:dyDescent="0.5">
      <c r="B12" s="6"/>
      <c r="C12" s="6" t="s">
        <v>64</v>
      </c>
    </row>
    <row r="13" spans="1:8" x14ac:dyDescent="0.5">
      <c r="B13" s="6"/>
      <c r="C13" s="6" t="s">
        <v>65</v>
      </c>
    </row>
    <row r="14" spans="1:8" x14ac:dyDescent="0.5">
      <c r="B14" s="6"/>
      <c r="C14" s="6" t="s">
        <v>66</v>
      </c>
    </row>
    <row r="16" spans="1:8" ht="45.75" customHeight="1" x14ac:dyDescent="0.55000000000000004">
      <c r="B16" s="86" t="s">
        <v>52</v>
      </c>
      <c r="C16" s="76" t="s">
        <v>53</v>
      </c>
      <c r="D16" s="77"/>
      <c r="E16" s="77"/>
      <c r="F16" s="77"/>
      <c r="G16" s="78" t="s">
        <v>55</v>
      </c>
      <c r="H16" s="79" t="s">
        <v>56</v>
      </c>
    </row>
    <row r="17" spans="1:8" ht="22.5" x14ac:dyDescent="0.55000000000000004">
      <c r="B17" s="85">
        <v>1395</v>
      </c>
      <c r="C17" s="60" t="s">
        <v>51</v>
      </c>
      <c r="D17" s="60"/>
      <c r="E17" s="60"/>
      <c r="F17" s="60"/>
      <c r="G17" s="80">
        <v>0</v>
      </c>
      <c r="H17" s="81">
        <f>G17</f>
        <v>0</v>
      </c>
    </row>
    <row r="18" spans="1:8" ht="22.5" x14ac:dyDescent="0.55000000000000004">
      <c r="B18" s="85">
        <v>1396</v>
      </c>
      <c r="C18" s="60" t="s">
        <v>59</v>
      </c>
      <c r="D18" s="60"/>
      <c r="E18" s="60"/>
      <c r="F18" s="60"/>
      <c r="G18" s="80">
        <v>200</v>
      </c>
      <c r="H18" s="82">
        <f>G18/1.2</f>
        <v>166.66666666666669</v>
      </c>
    </row>
    <row r="19" spans="1:8" ht="22.5" x14ac:dyDescent="0.55000000000000004">
      <c r="B19" s="85">
        <v>1397</v>
      </c>
      <c r="C19" s="60" t="s">
        <v>48</v>
      </c>
      <c r="D19" s="60"/>
      <c r="E19" s="60"/>
      <c r="F19" s="60"/>
      <c r="G19" s="80">
        <v>100</v>
      </c>
      <c r="H19" s="82">
        <f>G19/(1.2)^2</f>
        <v>69.444444444444443</v>
      </c>
    </row>
    <row r="20" spans="1:8" ht="22.5" x14ac:dyDescent="0.55000000000000004">
      <c r="B20" s="85">
        <v>1398</v>
      </c>
      <c r="C20" s="60" t="s">
        <v>60</v>
      </c>
      <c r="D20" s="60"/>
      <c r="E20" s="60"/>
      <c r="F20" s="60"/>
      <c r="G20" s="80">
        <v>100</v>
      </c>
      <c r="H20" s="82">
        <f>G20/(1.2)^3</f>
        <v>57.870370370370374</v>
      </c>
    </row>
    <row r="21" spans="1:8" ht="22.5" x14ac:dyDescent="0.55000000000000004">
      <c r="B21" s="85">
        <v>1399</v>
      </c>
      <c r="C21" s="60" t="s">
        <v>51</v>
      </c>
      <c r="D21" s="60"/>
      <c r="E21" s="60"/>
      <c r="F21" s="60"/>
      <c r="G21" s="80">
        <v>0</v>
      </c>
      <c r="H21" s="82">
        <f>G21/(1.2)^4</f>
        <v>0</v>
      </c>
    </row>
    <row r="22" spans="1:8" ht="22.5" x14ac:dyDescent="0.55000000000000004">
      <c r="B22" s="85">
        <v>1400</v>
      </c>
      <c r="C22" s="60" t="s">
        <v>50</v>
      </c>
      <c r="D22" s="60"/>
      <c r="E22" s="60"/>
      <c r="F22" s="60"/>
      <c r="G22" s="80">
        <v>500</v>
      </c>
      <c r="H22" s="82">
        <f>G22/(1.2)^5</f>
        <v>200.93878600823047</v>
      </c>
    </row>
    <row r="23" spans="1:8" ht="24.75" thickBot="1" x14ac:dyDescent="0.65">
      <c r="B23" s="13"/>
      <c r="C23" s="87" t="s">
        <v>54</v>
      </c>
      <c r="D23" s="60"/>
      <c r="E23" s="60"/>
      <c r="F23" s="60"/>
      <c r="G23" s="83">
        <f>SUM(G17:G22)</f>
        <v>900</v>
      </c>
      <c r="H23" s="84">
        <f>SUM(H17:H22)</f>
        <v>494.92026748971199</v>
      </c>
    </row>
    <row r="24" spans="1:8" ht="20.25" thickTop="1" x14ac:dyDescent="0.5"/>
    <row r="26" spans="1:8" x14ac:dyDescent="0.5">
      <c r="C26" s="2" t="s">
        <v>58</v>
      </c>
      <c r="H26" s="3">
        <v>800</v>
      </c>
    </row>
    <row r="27" spans="1:8" x14ac:dyDescent="0.5">
      <c r="C27" s="2" t="s">
        <v>57</v>
      </c>
      <c r="H27" s="4">
        <v>495</v>
      </c>
    </row>
    <row r="28" spans="1:8" ht="20.25" thickBot="1" x14ac:dyDescent="0.55000000000000004">
      <c r="C28" s="7" t="s">
        <v>67</v>
      </c>
      <c r="D28" s="7"/>
      <c r="E28" s="7"/>
      <c r="F28" s="7"/>
      <c r="G28" s="7"/>
      <c r="H28" s="5">
        <f>H26-H27</f>
        <v>305</v>
      </c>
    </row>
    <row r="29" spans="1:8" ht="20.25" thickTop="1" x14ac:dyDescent="0.5"/>
    <row r="31" spans="1:8" x14ac:dyDescent="0.5">
      <c r="A31" s="1" t="s">
        <v>2</v>
      </c>
    </row>
    <row r="34" spans="1:11" x14ac:dyDescent="0.5">
      <c r="B34" s="2" t="s">
        <v>69</v>
      </c>
    </row>
    <row r="35" spans="1:11" x14ac:dyDescent="0.5">
      <c r="F35" s="8"/>
      <c r="G35" s="8"/>
      <c r="H35" s="8"/>
      <c r="I35" s="8"/>
      <c r="J35" s="8"/>
      <c r="K35" s="8"/>
    </row>
    <row r="36" spans="1:11" ht="21" x14ac:dyDescent="0.55000000000000004">
      <c r="B36" s="3"/>
      <c r="C36" s="59" t="s">
        <v>73</v>
      </c>
      <c r="D36" s="59" t="s">
        <v>14</v>
      </c>
      <c r="E36" s="59" t="s">
        <v>15</v>
      </c>
      <c r="F36" s="59" t="s">
        <v>16</v>
      </c>
      <c r="G36" s="59" t="s">
        <v>17</v>
      </c>
      <c r="H36" s="59" t="s">
        <v>68</v>
      </c>
      <c r="I36" s="59" t="s">
        <v>74</v>
      </c>
    </row>
    <row r="37" spans="1:11" ht="20.25" x14ac:dyDescent="0.5">
      <c r="A37" s="2"/>
      <c r="B37" s="2" t="s">
        <v>75</v>
      </c>
      <c r="C37" s="62">
        <f>SUM(D37:H37)</f>
        <v>18000</v>
      </c>
      <c r="D37" s="62">
        <v>5000</v>
      </c>
      <c r="E37" s="62">
        <v>4000</v>
      </c>
      <c r="F37" s="62">
        <v>3500</v>
      </c>
      <c r="G37" s="62">
        <v>3000</v>
      </c>
      <c r="H37" s="62">
        <v>2500</v>
      </c>
      <c r="I37" s="63"/>
    </row>
    <row r="38" spans="1:11" ht="20.25" x14ac:dyDescent="0.5">
      <c r="A38" s="2"/>
      <c r="C38" s="62"/>
      <c r="D38" s="62"/>
      <c r="E38" s="62"/>
      <c r="F38" s="62"/>
      <c r="G38" s="62"/>
      <c r="H38" s="62"/>
      <c r="I38" s="63"/>
    </row>
    <row r="39" spans="1:11" ht="20.25" x14ac:dyDescent="0.5">
      <c r="A39" s="2"/>
      <c r="B39" s="2" t="s">
        <v>70</v>
      </c>
      <c r="C39" s="64"/>
      <c r="D39" s="65">
        <v>0.03</v>
      </c>
      <c r="E39" s="65">
        <v>3.2000000000000001E-2</v>
      </c>
      <c r="F39" s="65">
        <v>3.7999999999999999E-2</v>
      </c>
      <c r="G39" s="65">
        <v>4.1000000000000002E-2</v>
      </c>
      <c r="H39" s="65">
        <v>4.3999999999999997E-2</v>
      </c>
      <c r="I39" s="63"/>
    </row>
    <row r="40" spans="1:11" ht="20.25" x14ac:dyDescent="0.5">
      <c r="A40" s="2"/>
      <c r="B40" s="2" t="s">
        <v>71</v>
      </c>
      <c r="C40" s="64"/>
      <c r="D40" s="64">
        <v>0.8</v>
      </c>
      <c r="E40" s="64">
        <v>0.75</v>
      </c>
      <c r="F40" s="64">
        <v>0.7</v>
      </c>
      <c r="G40" s="64">
        <v>0.65</v>
      </c>
      <c r="H40" s="64">
        <v>0.6</v>
      </c>
      <c r="I40" s="63"/>
    </row>
    <row r="41" spans="1:11" ht="20.25" x14ac:dyDescent="0.5">
      <c r="A41" s="2"/>
      <c r="B41" s="2" t="s">
        <v>72</v>
      </c>
      <c r="C41" s="64"/>
      <c r="D41" s="64">
        <f>1-D40</f>
        <v>0.19999999999999996</v>
      </c>
      <c r="E41" s="64">
        <f>1-E40</f>
        <v>0.25</v>
      </c>
      <c r="F41" s="64">
        <f>1-F40</f>
        <v>0.30000000000000004</v>
      </c>
      <c r="G41" s="64">
        <f>1-G40</f>
        <v>0.35</v>
      </c>
      <c r="H41" s="64">
        <f>1-H40</f>
        <v>0.4</v>
      </c>
      <c r="I41" s="63"/>
    </row>
    <row r="42" spans="1:11" ht="20.25" x14ac:dyDescent="0.5">
      <c r="A42" s="2"/>
      <c r="B42" s="2" t="s">
        <v>77</v>
      </c>
      <c r="C42" s="66">
        <f>SUM(D42:J42)</f>
        <v>17811.050000000003</v>
      </c>
      <c r="D42" s="66">
        <f>D37*(1-D39*D41)</f>
        <v>4970</v>
      </c>
      <c r="E42" s="66">
        <f>E37*(1-E39*E41)</f>
        <v>3968</v>
      </c>
      <c r="F42" s="66">
        <f>F37*(1-F39*F41)</f>
        <v>3460.1</v>
      </c>
      <c r="G42" s="66">
        <f>G37*(1-G39*G41)</f>
        <v>2956.9500000000003</v>
      </c>
      <c r="H42" s="66">
        <f>H37*(1-H39*H41)</f>
        <v>2456</v>
      </c>
      <c r="I42" s="67"/>
    </row>
    <row r="43" spans="1:11" ht="20.25" x14ac:dyDescent="0.5">
      <c r="A43" s="2"/>
      <c r="B43" s="2" t="s">
        <v>78</v>
      </c>
      <c r="C43" s="66">
        <f>SUM(D43:J43)</f>
        <v>9478.82</v>
      </c>
      <c r="D43" s="66">
        <f>(D42*0.2)</f>
        <v>994</v>
      </c>
      <c r="E43" s="66">
        <f>(E42*0.2*2)</f>
        <v>1587.2</v>
      </c>
      <c r="F43" s="66">
        <f>(F42*0.2*3)</f>
        <v>2076.06</v>
      </c>
      <c r="G43" s="66">
        <f>(G42*0.2*4)</f>
        <v>2365.5600000000004</v>
      </c>
      <c r="H43" s="66">
        <f>(H42*0.2*5)</f>
        <v>2456</v>
      </c>
      <c r="I43" s="67"/>
    </row>
    <row r="44" spans="1:11" ht="21.75" x14ac:dyDescent="0.55000000000000004">
      <c r="A44" s="2"/>
      <c r="B44" s="2" t="s">
        <v>79</v>
      </c>
      <c r="C44" s="68">
        <f t="shared" ref="C44:H44" si="0">SUM(C42:C43)</f>
        <v>27289.870000000003</v>
      </c>
      <c r="D44" s="68">
        <f t="shared" si="0"/>
        <v>5964</v>
      </c>
      <c r="E44" s="68">
        <f t="shared" si="0"/>
        <v>5555.2</v>
      </c>
      <c r="F44" s="68">
        <f t="shared" si="0"/>
        <v>5536.16</v>
      </c>
      <c r="G44" s="68">
        <f t="shared" si="0"/>
        <v>5322.51</v>
      </c>
      <c r="H44" s="68">
        <f t="shared" si="0"/>
        <v>4912</v>
      </c>
      <c r="I44" s="69"/>
    </row>
    <row r="45" spans="1:11" ht="21.75" x14ac:dyDescent="0.55000000000000004">
      <c r="A45" s="2"/>
      <c r="B45" s="2" t="s">
        <v>80</v>
      </c>
      <c r="C45" s="70">
        <f>SUM(D45:I45)</f>
        <v>27289.87</v>
      </c>
      <c r="D45" s="70">
        <f>D44*0.9</f>
        <v>5367.6</v>
      </c>
      <c r="E45" s="70">
        <f>E44*0.9+D44*0.1</f>
        <v>5596.08</v>
      </c>
      <c r="F45" s="70">
        <f>F44*0.9+E44*0.1</f>
        <v>5538.0640000000003</v>
      </c>
      <c r="G45" s="70">
        <f>G44*0.9+F44*0.1</f>
        <v>5343.875</v>
      </c>
      <c r="H45" s="70">
        <f>H44*0.9+G44*0.1</f>
        <v>4953.0510000000004</v>
      </c>
      <c r="I45" s="70">
        <f>I44*0.9+H44*0.1</f>
        <v>491.20000000000005</v>
      </c>
      <c r="J45" s="9"/>
      <c r="K45" s="9"/>
    </row>
    <row r="46" spans="1:11" ht="20.25" x14ac:dyDescent="0.5">
      <c r="A46" s="2"/>
      <c r="C46" s="71"/>
      <c r="D46" s="71"/>
      <c r="E46" s="71"/>
      <c r="F46" s="71"/>
      <c r="G46" s="71"/>
      <c r="H46" s="71"/>
      <c r="I46" s="71"/>
      <c r="J46" s="9"/>
      <c r="K46" s="9"/>
    </row>
    <row r="47" spans="1:11" ht="21.75" x14ac:dyDescent="0.55000000000000004">
      <c r="A47" s="2"/>
      <c r="B47" s="2" t="s">
        <v>76</v>
      </c>
      <c r="C47" s="72">
        <f>SUM(D47:I47)</f>
        <v>16296.187023105282</v>
      </c>
      <c r="D47" s="72">
        <f>D45/(1.2)^1</f>
        <v>4473.0000000000009</v>
      </c>
      <c r="E47" s="72">
        <f>E45/(1.2)^2</f>
        <v>3886.166666666667</v>
      </c>
      <c r="F47" s="72">
        <f>F45/(1.2)^3</f>
        <v>3204.8981481481483</v>
      </c>
      <c r="G47" s="72">
        <f>G45/(1.2)^4</f>
        <v>2577.100212191358</v>
      </c>
      <c r="H47" s="72">
        <f>H45/(1.2)^5</f>
        <v>1990.5201099537039</v>
      </c>
      <c r="I47" s="72">
        <f>I45/(1.2)^6</f>
        <v>164.50188614540468</v>
      </c>
      <c r="J47" s="9"/>
      <c r="K47" s="9"/>
    </row>
    <row r="48" spans="1:11" ht="22.5" thickBot="1" x14ac:dyDescent="0.6">
      <c r="A48" s="2"/>
      <c r="B48" s="2" t="s">
        <v>81</v>
      </c>
      <c r="C48" s="73">
        <f>C37-C47</f>
        <v>1703.8129768947183</v>
      </c>
      <c r="D48" s="74"/>
      <c r="E48" s="74"/>
      <c r="F48" s="74"/>
      <c r="G48" s="74"/>
      <c r="H48" s="74"/>
      <c r="I48" s="75"/>
    </row>
    <row r="49" spans="1:8" ht="18.75" thickTop="1" x14ac:dyDescent="0.45">
      <c r="A49" s="2"/>
      <c r="C49" s="11"/>
      <c r="D49" s="11"/>
      <c r="E49" s="11"/>
      <c r="F49" s="11"/>
      <c r="G49" s="11"/>
      <c r="H49" s="11"/>
    </row>
    <row r="50" spans="1:8" ht="18" x14ac:dyDescent="0.45">
      <c r="A50" s="2" t="s">
        <v>82</v>
      </c>
    </row>
    <row r="51" spans="1:8" ht="18" x14ac:dyDescent="0.45">
      <c r="A51" s="2"/>
    </row>
    <row r="52" spans="1:8" ht="18" x14ac:dyDescent="0.45">
      <c r="A52" s="2"/>
    </row>
    <row r="53" spans="1:8" ht="18" x14ac:dyDescent="0.45">
      <c r="A53" s="2"/>
    </row>
    <row r="54" spans="1:8" ht="18" x14ac:dyDescent="0.45">
      <c r="A54" s="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rightToLeft="1" workbookViewId="0">
      <selection activeCell="C10" sqref="C10"/>
    </sheetView>
  </sheetViews>
  <sheetFormatPr defaultRowHeight="19.5" x14ac:dyDescent="0.5"/>
  <cols>
    <col min="1" max="1" width="14.140625" style="1" customWidth="1"/>
    <col min="2" max="2" width="12.140625" style="2" customWidth="1"/>
    <col min="3" max="3" width="8.5703125" style="2" customWidth="1"/>
    <col min="4" max="4" width="11.140625" style="2" customWidth="1"/>
    <col min="5" max="5" width="11.28515625" style="2" customWidth="1"/>
    <col min="6" max="6" width="11.140625" style="2" customWidth="1"/>
    <col min="7" max="7" width="13.28515625" style="2" customWidth="1"/>
    <col min="8" max="8" width="15.5703125" style="2" customWidth="1"/>
    <col min="9" max="9" width="9.85546875" style="2" customWidth="1"/>
    <col min="10" max="10" width="12.5703125" style="2" customWidth="1"/>
    <col min="11" max="16384" width="9.140625" style="2"/>
  </cols>
  <sheetData>
    <row r="1" spans="1:10" ht="18" x14ac:dyDescent="0.45">
      <c r="A1" s="2"/>
    </row>
    <row r="2" spans="1:10" x14ac:dyDescent="0.5">
      <c r="A2" s="1" t="s">
        <v>9</v>
      </c>
    </row>
    <row r="4" spans="1:10" ht="42.75" customHeight="1" x14ac:dyDescent="0.5">
      <c r="B4" s="109" t="s">
        <v>12</v>
      </c>
      <c r="C4" s="109"/>
      <c r="D4" s="109"/>
      <c r="E4" s="109"/>
      <c r="F4" s="109"/>
      <c r="G4" s="109"/>
      <c r="H4" s="109"/>
    </row>
    <row r="6" spans="1:10" ht="36.75" customHeight="1" x14ac:dyDescent="0.5">
      <c r="B6" s="110" t="s">
        <v>3</v>
      </c>
      <c r="C6" s="112" t="s">
        <v>4</v>
      </c>
      <c r="D6" s="112"/>
      <c r="E6" s="113" t="s">
        <v>5</v>
      </c>
      <c r="F6" s="113" t="s">
        <v>6</v>
      </c>
      <c r="G6" s="115" t="s">
        <v>96</v>
      </c>
      <c r="H6" s="115" t="s">
        <v>97</v>
      </c>
      <c r="I6" s="108" t="s">
        <v>83</v>
      </c>
      <c r="J6" s="108"/>
    </row>
    <row r="7" spans="1:10" ht="36.75" customHeight="1" x14ac:dyDescent="0.5">
      <c r="B7" s="111"/>
      <c r="C7" s="96" t="s">
        <v>10</v>
      </c>
      <c r="D7" s="88" t="s">
        <v>11</v>
      </c>
      <c r="E7" s="114"/>
      <c r="F7" s="114"/>
      <c r="G7" s="116"/>
      <c r="H7" s="117"/>
      <c r="I7" s="89" t="s">
        <v>84</v>
      </c>
      <c r="J7" s="89" t="s">
        <v>85</v>
      </c>
    </row>
    <row r="8" spans="1:10" ht="33.75" customHeight="1" x14ac:dyDescent="0.5">
      <c r="B8" s="90" t="s">
        <v>7</v>
      </c>
      <c r="C8" s="91">
        <v>0.08</v>
      </c>
      <c r="D8" s="91">
        <v>0.12</v>
      </c>
      <c r="E8" s="92">
        <v>0.7</v>
      </c>
      <c r="F8" s="93">
        <v>100</v>
      </c>
      <c r="G8" s="94">
        <f>C8*E8*F8</f>
        <v>5.6</v>
      </c>
      <c r="H8" s="94">
        <f>(C8+D8)*E8*F8</f>
        <v>13.999999999999998</v>
      </c>
      <c r="I8" s="95">
        <f>G8/1.2</f>
        <v>4.666666666666667</v>
      </c>
      <c r="J8" s="95">
        <f>G8/1.2+(H8-G8)/1.2/1.2</f>
        <v>10.5</v>
      </c>
    </row>
    <row r="9" spans="1:10" ht="30" customHeight="1" x14ac:dyDescent="0.5">
      <c r="B9" s="90" t="s">
        <v>8</v>
      </c>
      <c r="C9" s="91">
        <v>0.1</v>
      </c>
      <c r="D9" s="91">
        <v>0.2</v>
      </c>
      <c r="E9" s="92">
        <v>0.7</v>
      </c>
      <c r="F9" s="93">
        <v>100</v>
      </c>
      <c r="G9" s="94">
        <f>C9*E9*F9</f>
        <v>6.9999999999999991</v>
      </c>
      <c r="H9" s="94">
        <f>(C9+D9)*E9*F9</f>
        <v>21.000000000000004</v>
      </c>
      <c r="I9" s="95">
        <f>G9/1.2</f>
        <v>5.833333333333333</v>
      </c>
      <c r="J9" s="95">
        <f>G9/1.2+(H9-G9)/1.2/1.2</f>
        <v>15.555555555555557</v>
      </c>
    </row>
    <row r="10" spans="1:10" ht="22.5" x14ac:dyDescent="0.5">
      <c r="B10" s="90" t="s">
        <v>98</v>
      </c>
      <c r="C10" s="91">
        <v>0.18</v>
      </c>
      <c r="D10" s="91">
        <v>0</v>
      </c>
      <c r="E10" s="92">
        <v>0.7</v>
      </c>
      <c r="F10" s="93">
        <v>100</v>
      </c>
      <c r="G10" s="94">
        <f>C10*E10*F10</f>
        <v>12.6</v>
      </c>
      <c r="H10" s="94">
        <f>(C10+D10)*E10*F10</f>
        <v>12.6</v>
      </c>
      <c r="I10" s="95">
        <f>G10/1.2</f>
        <v>10.5</v>
      </c>
      <c r="J10" s="95">
        <f>G10/1.2+(H10-G10)/1.2/1.2</f>
        <v>10.5</v>
      </c>
    </row>
    <row r="11" spans="1:10" x14ac:dyDescent="0.5">
      <c r="C11" s="10"/>
      <c r="D11" s="10"/>
      <c r="E11" s="10"/>
      <c r="F11" s="3"/>
      <c r="G11" s="3"/>
      <c r="H11" s="3"/>
    </row>
    <row r="13" spans="1:10" ht="40.5" customHeight="1" x14ac:dyDescent="0.5">
      <c r="B13" s="109" t="s">
        <v>86</v>
      </c>
      <c r="C13" s="109"/>
      <c r="D13" s="109"/>
      <c r="E13" s="109"/>
      <c r="F13" s="109"/>
      <c r="G13" s="109"/>
      <c r="H13" s="109"/>
    </row>
    <row r="14" spans="1:10" x14ac:dyDescent="0.5">
      <c r="B14" s="8"/>
      <c r="C14" s="8"/>
      <c r="D14" s="8"/>
      <c r="E14" s="8"/>
      <c r="F14" s="8"/>
      <c r="G14" s="8"/>
      <c r="H14" s="8"/>
    </row>
    <row r="15" spans="1:10" ht="75.75" customHeight="1" x14ac:dyDescent="0.5">
      <c r="B15" s="109" t="s">
        <v>87</v>
      </c>
      <c r="C15" s="109"/>
      <c r="D15" s="109"/>
      <c r="E15" s="109"/>
      <c r="F15" s="109"/>
      <c r="G15" s="109"/>
      <c r="H15" s="109"/>
    </row>
    <row r="16" spans="1:10" x14ac:dyDescent="0.5">
      <c r="B16" s="8"/>
      <c r="C16" s="8"/>
      <c r="D16" s="8"/>
      <c r="E16" s="8"/>
      <c r="F16" s="8"/>
      <c r="G16" s="8"/>
      <c r="H16" s="8"/>
    </row>
    <row r="17" spans="2:8" ht="126.75" customHeight="1" x14ac:dyDescent="0.5">
      <c r="B17" s="109" t="s">
        <v>88</v>
      </c>
      <c r="C17" s="109"/>
      <c r="D17" s="109"/>
      <c r="E17" s="109"/>
      <c r="F17" s="109"/>
      <c r="G17" s="109"/>
      <c r="H17" s="109"/>
    </row>
  </sheetData>
  <mergeCells count="11">
    <mergeCell ref="I6:J6"/>
    <mergeCell ref="B13:H13"/>
    <mergeCell ref="B15:H15"/>
    <mergeCell ref="B17:H17"/>
    <mergeCell ref="B4:H4"/>
    <mergeCell ref="B6:B7"/>
    <mergeCell ref="C6:D6"/>
    <mergeCell ref="E6:E7"/>
    <mergeCell ref="F6:F7"/>
    <mergeCell ref="G6:G7"/>
    <mergeCell ref="H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Amortized Cost</vt:lpstr>
      <vt:lpstr>Amortized Cost (2)</vt:lpstr>
      <vt:lpstr>IAS39</vt:lpstr>
      <vt:lpstr>IFRS9</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2016-12-15T07:45:02Z</dcterms:modified>
</cp:coreProperties>
</file>